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Matt's Docs\Aerial Applicators\"/>
    </mc:Choice>
  </mc:AlternateContent>
  <xr:revisionPtr revIDLastSave="0" documentId="13_ncr:1_{288A441B-87B7-4199-90C8-59565CFBC58D}" xr6:coauthVersionLast="47" xr6:coauthVersionMax="47" xr10:uidLastSave="{00000000-0000-0000-0000-000000000000}"/>
  <bookViews>
    <workbookView xWindow="-120" yWindow="-120" windowWidth="24240" windowHeight="13140" xr2:uid="{7916288F-3FEA-49A7-8686-3BD088B8D774}"/>
  </bookViews>
  <sheets>
    <sheet name="Input" sheetId="3" r:id="rId1"/>
    <sheet name="Assumptions" sheetId="4" r:id="rId2"/>
    <sheet name="Profit - BE Analysis" sheetId="2" r:id="rId3"/>
    <sheet name="Fuel &amp; Fuel Surcharge"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6" i="2" l="1"/>
  <c r="C3" i="2" l="1"/>
  <c r="B11" i="2"/>
  <c r="B15" i="4"/>
  <c r="B8" i="1" l="1"/>
  <c r="B5" i="1"/>
  <c r="B3" i="1"/>
  <c r="B2" i="1"/>
  <c r="B9" i="4"/>
  <c r="I3" i="2" s="1"/>
  <c r="B4" i="4"/>
  <c r="C9" i="2" s="1"/>
  <c r="B7" i="2"/>
  <c r="H12" i="2"/>
  <c r="I9" i="2" l="1"/>
  <c r="C12" i="2" s="1"/>
  <c r="B3" i="2"/>
  <c r="B9" i="2"/>
  <c r="C6" i="2"/>
  <c r="B6" i="2" s="1"/>
  <c r="I8" i="2"/>
  <c r="C11" i="2" s="1"/>
  <c r="H13" i="2"/>
  <c r="B8" i="2" s="1"/>
  <c r="I7" i="2"/>
  <c r="C10" i="2" s="1"/>
  <c r="I4" i="2"/>
  <c r="C7" i="2" s="1"/>
  <c r="B4" i="1"/>
  <c r="H5" i="2" l="1"/>
  <c r="H3" i="2"/>
  <c r="H4" i="2"/>
  <c r="B6" i="1"/>
  <c r="B7" i="1" s="1"/>
  <c r="B9" i="1" s="1"/>
  <c r="C17" i="2" s="1"/>
  <c r="H6" i="2"/>
  <c r="H8" i="2"/>
  <c r="H9" i="2"/>
  <c r="H7" i="2"/>
  <c r="I5" i="2" l="1"/>
  <c r="I10" i="2" s="1"/>
  <c r="B13" i="2"/>
  <c r="B15" i="2" s="1"/>
  <c r="H10" i="2"/>
  <c r="B17" i="2"/>
  <c r="C8" i="2" l="1"/>
  <c r="C13" i="2" s="1"/>
  <c r="C15" i="2" s="1"/>
  <c r="B19" i="2"/>
  <c r="B18" i="2"/>
  <c r="C19" i="2" l="1"/>
  <c r="D19" i="2" s="1"/>
  <c r="D15" i="2"/>
  <c r="C18" i="2"/>
  <c r="D18" i="2" s="1"/>
</calcChain>
</file>

<file path=xl/sharedStrings.xml><?xml version="1.0" encoding="utf-8"?>
<sst xmlns="http://schemas.openxmlformats.org/spreadsheetml/2006/main" count="85" uniqueCount="64">
  <si>
    <t>Fuel Surcharge:</t>
  </si>
  <si>
    <t>Difference in Fuel Cost:</t>
  </si>
  <si>
    <t>Original Built in Fuel Price:</t>
  </si>
  <si>
    <t>Fuel Price at Time of Application</t>
  </si>
  <si>
    <t>Gallons Burned per Hour</t>
  </si>
  <si>
    <t>Acres Sprayed</t>
  </si>
  <si>
    <t>Airplane Type:</t>
  </si>
  <si>
    <t>Acres Sprayed per Hour</t>
  </si>
  <si>
    <t>Air Tractor 802</t>
  </si>
  <si>
    <t>Air Tractor 602</t>
  </si>
  <si>
    <t>Air Tractor 504</t>
  </si>
  <si>
    <t>Air Tractor 502</t>
  </si>
  <si>
    <t>Air Tractor 402</t>
  </si>
  <si>
    <t>Thrush 710</t>
  </si>
  <si>
    <t>Thrush 510</t>
  </si>
  <si>
    <t>Avg. Fuel Economy (Gallons/Hour)</t>
  </si>
  <si>
    <t>Fuel Surcharge per Acre</t>
  </si>
  <si>
    <t>Insurance</t>
  </si>
  <si>
    <t>Fuel</t>
  </si>
  <si>
    <t>Pilot Pay</t>
  </si>
  <si>
    <t xml:space="preserve">Replacement Cost </t>
  </si>
  <si>
    <t>Application Fee Cost Breakdown:</t>
  </si>
  <si>
    <t>Debt Payments</t>
  </si>
  <si>
    <t>Annual Maintenance</t>
  </si>
  <si>
    <t>Annual Total</t>
  </si>
  <si>
    <t>Avg Cost Per Hour</t>
  </si>
  <si>
    <t>Avg Cost Per Acre</t>
  </si>
  <si>
    <t>Projected Acres to Spray in a Season</t>
  </si>
  <si>
    <t>Application Fee</t>
  </si>
  <si>
    <t>Projected Hours to Spray in a Season</t>
  </si>
  <si>
    <t>Total Costs</t>
  </si>
  <si>
    <t>Total</t>
  </si>
  <si>
    <t>Revenues</t>
  </si>
  <si>
    <t>Profit</t>
  </si>
  <si>
    <t>Fee Charged ($/acre)</t>
  </si>
  <si>
    <t>Price of Upgraded Airplane</t>
  </si>
  <si>
    <t>% Cash Down</t>
  </si>
  <si>
    <t>Years Until Upgrade</t>
  </si>
  <si>
    <t>Savings Needed Per Year</t>
  </si>
  <si>
    <t>Cost Per Acre</t>
  </si>
  <si>
    <t>Hours Spent Spraying</t>
  </si>
  <si>
    <t xml:space="preserve">Fuel Surcharge </t>
  </si>
  <si>
    <t>Profit W/O Fuel Surcharge</t>
  </si>
  <si>
    <t>Management / Other</t>
  </si>
  <si>
    <t>Projected Acres to Spray This Season:</t>
  </si>
  <si>
    <t>Annual Debt Payment</t>
  </si>
  <si>
    <t>Average Acres Sprayed During Season</t>
  </si>
  <si>
    <t>Average Insurance Cost Per Acre</t>
  </si>
  <si>
    <t>Insurance Costs</t>
  </si>
  <si>
    <t>Average Cost of Annual Maintence Per Plane</t>
  </si>
  <si>
    <t>Average Maintenance Cost Per Acre</t>
  </si>
  <si>
    <t>Fuel Base Rate</t>
  </si>
  <si>
    <t>Fuel Price at the Time of Application</t>
  </si>
  <si>
    <t>Please Input the Below Information:</t>
  </si>
  <si>
    <t>Saving for New Airplane or Replacement Cost</t>
  </si>
  <si>
    <t xml:space="preserve">This assumption is made off information received an average plane &amp; good pilot history. This would include physical damage and liability insurance. </t>
  </si>
  <si>
    <t>Rate ($/Acre) You Charge</t>
  </si>
  <si>
    <t>Fuel Surcharge Calculation:</t>
  </si>
  <si>
    <t>Profit Margin / Break Even Analysis:</t>
  </si>
  <si>
    <t>Profit W/ Fuel Surcharge</t>
  </si>
  <si>
    <t xml:space="preserve">These numbers are plug numbers. Feel free to change the price, % cash down, and years until upgrade to best fit your needs. </t>
  </si>
  <si>
    <t>Profit Margin</t>
  </si>
  <si>
    <t xml:space="preserve">Hover over cell A3 to choose the airplane you operate from the drop down list and the formulas will caluclate the average fuel economy of that plane as well with the acres sprayed per hour. You will also need to input the acres you are projecting to spray in a season, your annual debt payment (if applicable), and the rate you charge your customers. To calculate the fuel surcharge and fuel cost, you will need to input your fuel base rate as well as the fuel price at the time of application. Once you've inputed the information, the spreadsheet will automaticly pull across the information to the other sheets. Feel free to personalize this spreadsheet to fit your business operation. </t>
  </si>
  <si>
    <t>Average Cost of Airplane Insurance Per Plane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</si>
</sst>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i/>
      <sz val="11"/>
      <color theme="1"/>
      <name val="Calibri"/>
      <family val="2"/>
      <scheme val="minor"/>
    </font>
  </fonts>
  <fills count="2">
    <fill>
      <patternFill patternType="none"/>
    </fill>
    <fill>
      <patternFill patternType="gray125"/>
    </fill>
  </fills>
  <borders count="4">
    <border>
      <left/>
      <right/>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medium">
        <color theme="4" tint="0.39997558519241921"/>
      </bottom>
      <diagonal/>
    </border>
  </borders>
  <cellStyleXfs count="6">
    <xf numFmtId="0" fontId="0" fillId="0" borderId="0"/>
    <xf numFmtId="44" fontId="1" fillId="0" borderId="0" applyFont="0" applyFill="0" applyBorder="0" applyAlignment="0" applyProtection="0"/>
    <xf numFmtId="0" fontId="2" fillId="0" borderId="1" applyNumberFormat="0" applyFill="0" applyAlignment="0" applyProtection="0"/>
    <xf numFmtId="43" fontId="1" fillId="0" borderId="0" applyFont="0" applyFill="0" applyBorder="0" applyAlignment="0" applyProtection="0"/>
    <xf numFmtId="0" fontId="3" fillId="0" borderId="0" applyNumberFormat="0" applyFill="0" applyBorder="0" applyAlignment="0" applyProtection="0"/>
    <xf numFmtId="0" fontId="3" fillId="0" borderId="3" applyNumberFormat="0" applyFill="0" applyAlignment="0" applyProtection="0"/>
  </cellStyleXfs>
  <cellXfs count="33">
    <xf numFmtId="0" fontId="0" fillId="0" borderId="0" xfId="0"/>
    <xf numFmtId="44" fontId="0" fillId="0" borderId="0" xfId="1" applyFont="1"/>
    <xf numFmtId="2" fontId="0" fillId="0" borderId="0" xfId="0" applyNumberFormat="1"/>
    <xf numFmtId="0" fontId="2" fillId="0" borderId="1" xfId="2"/>
    <xf numFmtId="44" fontId="2" fillId="0" borderId="1" xfId="2" applyNumberFormat="1"/>
    <xf numFmtId="0" fontId="3" fillId="0" borderId="2" xfId="4" applyBorder="1"/>
    <xf numFmtId="0" fontId="0" fillId="0" borderId="2" xfId="0" applyBorder="1"/>
    <xf numFmtId="0" fontId="0" fillId="0" borderId="2" xfId="0" applyBorder="1" applyAlignment="1">
      <alignment horizontal="center"/>
    </xf>
    <xf numFmtId="0" fontId="3" fillId="0" borderId="2" xfId="4" applyBorder="1" applyAlignment="1">
      <alignment horizontal="center"/>
    </xf>
    <xf numFmtId="43" fontId="0" fillId="0" borderId="2" xfId="3" applyFont="1" applyBorder="1"/>
    <xf numFmtId="44" fontId="0" fillId="0" borderId="2" xfId="1" applyFont="1" applyBorder="1"/>
    <xf numFmtId="0" fontId="0" fillId="0" borderId="2" xfId="0" applyFill="1" applyBorder="1"/>
    <xf numFmtId="44" fontId="0" fillId="0" borderId="0" xfId="0" applyNumberFormat="1"/>
    <xf numFmtId="43" fontId="0" fillId="0" borderId="0" xfId="0" applyNumberFormat="1"/>
    <xf numFmtId="43" fontId="2" fillId="0" borderId="1" xfId="2" applyNumberFormat="1"/>
    <xf numFmtId="43" fontId="0" fillId="0" borderId="0" xfId="3" applyFont="1"/>
    <xf numFmtId="0" fontId="0" fillId="0" borderId="0" xfId="0" applyBorder="1" applyAlignment="1">
      <alignment horizontal="center"/>
    </xf>
    <xf numFmtId="44" fontId="0" fillId="0" borderId="0" xfId="1" applyFont="1" applyBorder="1"/>
    <xf numFmtId="0" fontId="0" fillId="0" borderId="0" xfId="0" applyFill="1" applyBorder="1" applyAlignment="1">
      <alignment horizontal="center"/>
    </xf>
    <xf numFmtId="9" fontId="0" fillId="0" borderId="0" xfId="0" applyNumberFormat="1" applyBorder="1"/>
    <xf numFmtId="0" fontId="0" fillId="0" borderId="0" xfId="0" applyBorder="1"/>
    <xf numFmtId="44" fontId="0" fillId="0" borderId="0" xfId="0" applyNumberFormat="1" applyBorder="1"/>
    <xf numFmtId="44" fontId="0" fillId="0" borderId="0" xfId="1" applyFont="1" applyFill="1" applyBorder="1" applyAlignment="1">
      <alignment horizontal="center"/>
    </xf>
    <xf numFmtId="0" fontId="2" fillId="0" borderId="0" xfId="0" applyFont="1"/>
    <xf numFmtId="0" fontId="2" fillId="0" borderId="0" xfId="0" applyFont="1" applyAlignment="1">
      <alignment horizontal="center"/>
    </xf>
    <xf numFmtId="10" fontId="2" fillId="0" borderId="1" xfId="2" applyNumberFormat="1"/>
    <xf numFmtId="0" fontId="0" fillId="0" borderId="0" xfId="0" applyFont="1"/>
    <xf numFmtId="0" fontId="3" fillId="0" borderId="0" xfId="4" applyAlignment="1">
      <alignment horizontal="center"/>
    </xf>
    <xf numFmtId="0" fontId="4" fillId="0" borderId="0" xfId="0" applyFont="1" applyAlignment="1">
      <alignment horizontal="center" vertical="top" wrapText="1"/>
    </xf>
    <xf numFmtId="0" fontId="0" fillId="0" borderId="0" xfId="0" applyAlignment="1">
      <alignment horizontal="center" vertical="top" wrapText="1"/>
    </xf>
    <xf numFmtId="0" fontId="3" fillId="0" borderId="0" xfId="4" applyBorder="1" applyAlignment="1">
      <alignment horizontal="center"/>
    </xf>
    <xf numFmtId="0" fontId="3" fillId="0" borderId="3" xfId="5" applyAlignment="1">
      <alignment horizontal="center"/>
    </xf>
    <xf numFmtId="0" fontId="3" fillId="0" borderId="3" xfId="4" applyBorder="1" applyAlignment="1">
      <alignment horizontal="center"/>
    </xf>
  </cellXfs>
  <cellStyles count="6">
    <cellStyle name="Comma" xfId="3" builtinId="3"/>
    <cellStyle name="Currency" xfId="1" builtinId="4"/>
    <cellStyle name="Heading 3" xfId="5" builtinId="18"/>
    <cellStyle name="Heading 4" xfId="4" builtinId="19"/>
    <cellStyle name="Normal" xfId="0" builtinId="0"/>
    <cellStyle name="Total" xfId="2"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a:t>
            </a:r>
            <a:r>
              <a:rPr lang="en-US" baseline="0"/>
              <a:t>e of Revenues, No Surcharge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0FB-4ABD-8062-963ADC2A7C2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0FB-4ABD-8062-963ADC2A7C2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0FB-4ABD-8062-963ADC2A7C2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0FB-4ABD-8062-963ADC2A7C2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0FB-4ABD-8062-963ADC2A7C2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0FB-4ABD-8062-963ADC2A7C2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0FB-4ABD-8062-963ADC2A7C23}"/>
              </c:ext>
            </c:extLst>
          </c:dPt>
          <c:dPt>
            <c:idx val="7"/>
            <c:bubble3D val="0"/>
            <c:explosion val="18"/>
            <c:spPr>
              <a:solidFill>
                <a:schemeClr val="accent2">
                  <a:lumMod val="60000"/>
                </a:schemeClr>
              </a:solidFill>
              <a:ln w="19050">
                <a:solidFill>
                  <a:schemeClr val="lt1"/>
                </a:solidFill>
              </a:ln>
              <a:effectLst/>
            </c:spPr>
            <c:extLst>
              <c:ext xmlns:c16="http://schemas.microsoft.com/office/drawing/2014/chart" uri="{C3380CC4-5D6E-409C-BE32-E72D297353CC}">
                <c16:uniqueId val="{00000001-E8BE-4767-8FDD-D7A9AD05130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'Profit - BE Analysis'!$A$6:$A$12</c:f>
              <c:strCache>
                <c:ptCount val="7"/>
                <c:pt idx="0">
                  <c:v>Annual Maintenance</c:v>
                </c:pt>
                <c:pt idx="1">
                  <c:v>Debt Payments</c:v>
                </c:pt>
                <c:pt idx="2">
                  <c:v>Fuel</c:v>
                </c:pt>
                <c:pt idx="3">
                  <c:v>Insurance</c:v>
                </c:pt>
                <c:pt idx="4">
                  <c:v>Pilot Pay</c:v>
                </c:pt>
                <c:pt idx="5">
                  <c:v>Replacement Cost </c:v>
                </c:pt>
                <c:pt idx="6">
                  <c:v>Management / Other</c:v>
                </c:pt>
              </c:strCache>
            </c:strRef>
          </c:cat>
          <c:val>
            <c:numRef>
              <c:f>('Profit - BE Analysis'!$C$6:$C$12,'Profit - BE Analysis'!$C$15)</c:f>
              <c:numCache>
                <c:formatCode>_("$"* #,##0.00_);_("$"* \(#,##0.00\);_("$"* "-"??_);_(@_)</c:formatCode>
                <c:ptCount val="8"/>
                <c:pt idx="0">
                  <c:v>2</c:v>
                </c:pt>
                <c:pt idx="1">
                  <c:v>2.6</c:v>
                </c:pt>
                <c:pt idx="2">
                  <c:v>1.8675000000000004</c:v>
                </c:pt>
                <c:pt idx="3">
                  <c:v>0.5</c:v>
                </c:pt>
                <c:pt idx="4">
                  <c:v>0.85</c:v>
                </c:pt>
                <c:pt idx="5">
                  <c:v>0.5</c:v>
                </c:pt>
                <c:pt idx="6">
                  <c:v>0.75</c:v>
                </c:pt>
                <c:pt idx="7">
                  <c:v>0.93250000000000099</c:v>
                </c:pt>
              </c:numCache>
            </c:numRef>
          </c:val>
          <c:extLst>
            <c:ext xmlns:c16="http://schemas.microsoft.com/office/drawing/2014/chart" uri="{C3380CC4-5D6E-409C-BE32-E72D297353CC}">
              <c16:uniqueId val="{00000000-E8BE-4767-8FDD-D7A9AD05130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a:t>
            </a:r>
            <a:r>
              <a:rPr lang="en-US" baseline="0"/>
              <a:t> of Revenues w/ Surcharge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57D-4089-9043-D5A7F7CCE1B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57D-4089-9043-D5A7F7CCE1B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57D-4089-9043-D5A7F7CCE1B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57D-4089-9043-D5A7F7CCE1B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57D-4089-9043-D5A7F7CCE1B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57D-4089-9043-D5A7F7CCE1B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57D-4089-9043-D5A7F7CCE1BA}"/>
              </c:ext>
            </c:extLst>
          </c:dPt>
          <c:dPt>
            <c:idx val="7"/>
            <c:bubble3D val="0"/>
            <c:explosion val="18"/>
            <c:spPr>
              <a:solidFill>
                <a:schemeClr val="accent2">
                  <a:lumMod val="60000"/>
                </a:schemeClr>
              </a:solidFill>
              <a:ln w="19050">
                <a:solidFill>
                  <a:schemeClr val="lt1"/>
                </a:solidFill>
              </a:ln>
              <a:effectLst/>
            </c:spPr>
            <c:extLst>
              <c:ext xmlns:c16="http://schemas.microsoft.com/office/drawing/2014/chart" uri="{C3380CC4-5D6E-409C-BE32-E72D297353CC}">
                <c16:uniqueId val="{00000001-280E-4823-8AB6-0419CC30DBF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'Profit - BE Analysis'!$A$6:$A$12</c:f>
              <c:strCache>
                <c:ptCount val="7"/>
                <c:pt idx="0">
                  <c:v>Annual Maintenance</c:v>
                </c:pt>
                <c:pt idx="1">
                  <c:v>Debt Payments</c:v>
                </c:pt>
                <c:pt idx="2">
                  <c:v>Fuel</c:v>
                </c:pt>
                <c:pt idx="3">
                  <c:v>Insurance</c:v>
                </c:pt>
                <c:pt idx="4">
                  <c:v>Pilot Pay</c:v>
                </c:pt>
                <c:pt idx="5">
                  <c:v>Replacement Cost </c:v>
                </c:pt>
                <c:pt idx="6">
                  <c:v>Management / Other</c:v>
                </c:pt>
              </c:strCache>
            </c:strRef>
          </c:cat>
          <c:val>
            <c:numRef>
              <c:f>('Profit - BE Analysis'!$C$6:$C$12,'Profit - BE Analysis'!$C$18)</c:f>
              <c:numCache>
                <c:formatCode>_("$"* #,##0.00_);_("$"* \(#,##0.00\);_("$"* "-"??_);_(@_)</c:formatCode>
                <c:ptCount val="8"/>
                <c:pt idx="0">
                  <c:v>2</c:v>
                </c:pt>
                <c:pt idx="1">
                  <c:v>2.6</c:v>
                </c:pt>
                <c:pt idx="2">
                  <c:v>1.8675000000000004</c:v>
                </c:pt>
                <c:pt idx="3">
                  <c:v>0.5</c:v>
                </c:pt>
                <c:pt idx="4">
                  <c:v>0.85</c:v>
                </c:pt>
                <c:pt idx="5">
                  <c:v>0.5</c:v>
                </c:pt>
                <c:pt idx="6">
                  <c:v>0.75</c:v>
                </c:pt>
                <c:pt idx="7">
                  <c:v>1.3150000000000008</c:v>
                </c:pt>
              </c:numCache>
            </c:numRef>
          </c:val>
          <c:extLst>
            <c:ext xmlns:c16="http://schemas.microsoft.com/office/drawing/2014/chart" uri="{C3380CC4-5D6E-409C-BE32-E72D297353CC}">
              <c16:uniqueId val="{00000000-280E-4823-8AB6-0419CC30DBF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85725</xdr:colOff>
      <xdr:row>1</xdr:row>
      <xdr:rowOff>9525</xdr:rowOff>
    </xdr:from>
    <xdr:to>
      <xdr:col>16</xdr:col>
      <xdr:colOff>390525</xdr:colOff>
      <xdr:row>15</xdr:row>
      <xdr:rowOff>38100</xdr:rowOff>
    </xdr:to>
    <xdr:graphicFrame macro="">
      <xdr:nvGraphicFramePr>
        <xdr:cNvPr id="2" name="Chart 1">
          <a:extLst>
            <a:ext uri="{FF2B5EF4-FFF2-40B4-BE49-F238E27FC236}">
              <a16:creationId xmlns:a16="http://schemas.microsoft.com/office/drawing/2014/main" id="{C19D4D7A-64D9-89F0-D8BF-77E797BDDA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100012</xdr:colOff>
      <xdr:row>16</xdr:row>
      <xdr:rowOff>57150</xdr:rowOff>
    </xdr:from>
    <xdr:to>
      <xdr:col>16</xdr:col>
      <xdr:colOff>404812</xdr:colOff>
      <xdr:row>30</xdr:row>
      <xdr:rowOff>133350</xdr:rowOff>
    </xdr:to>
    <xdr:graphicFrame macro="">
      <xdr:nvGraphicFramePr>
        <xdr:cNvPr id="4" name="Chart 3">
          <a:extLst>
            <a:ext uri="{FF2B5EF4-FFF2-40B4-BE49-F238E27FC236}">
              <a16:creationId xmlns:a16="http://schemas.microsoft.com/office/drawing/2014/main" id="{8AB5FF92-CACA-69FC-5443-2D43D7F956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4351052-5C8F-4B35-AB4E-2F6FF6AEA4BF}" name="Table1" displayName="Table1" ref="A2:F3" totalsRowShown="0">
  <autoFilter ref="A2:F3" xr:uid="{E4351052-5C8F-4B35-AB4E-2F6FF6AEA4BF}"/>
  <tableColumns count="6">
    <tableColumn id="1" xr3:uid="{86349DC9-15FA-4841-B7AF-7C9D579032DF}" name="Airplane Type:"/>
    <tableColumn id="2" xr3:uid="{8420BD39-9FDD-47AB-8B88-5BE59FE8917F}" name="Projected Acres to Spray This Season:" dataCellStyle="Comma"/>
    <tableColumn id="3" xr3:uid="{7F3AA205-CCD1-49FE-8973-9F6CD1AE0BF5}" name="Annual Debt Payment" dataCellStyle="Currency"/>
    <tableColumn id="4" xr3:uid="{A50EE906-EED1-47DD-A3C3-19D0CDCA5FEA}" name="Fuel Base Rate" dataCellStyle="Currency"/>
    <tableColumn id="5" xr3:uid="{1A9D7E3E-C4EE-4A93-9BA3-107398B7566D}" name="Fuel Price at the Time of Application" dataCellStyle="Currency"/>
    <tableColumn id="6" xr3:uid="{92F1E578-16E4-4371-9578-C222DF340364}" name="Rate ($/Acre) You Charge" dataCellStyl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48369-E9D4-42F5-A3C4-46A8281D262A}">
  <dimension ref="A1:F9"/>
  <sheetViews>
    <sheetView tabSelected="1" workbookViewId="0">
      <selection activeCell="B12" sqref="B12"/>
    </sheetView>
  </sheetViews>
  <sheetFormatPr defaultRowHeight="15" x14ac:dyDescent="0.25"/>
  <cols>
    <col min="1" max="1" width="16.28515625" bestFit="1" customWidth="1"/>
    <col min="2" max="2" width="36.85546875" bestFit="1" customWidth="1"/>
    <col min="3" max="3" width="22.85546875" bestFit="1" customWidth="1"/>
    <col min="4" max="4" width="16.28515625" bestFit="1" customWidth="1"/>
    <col min="5" max="5" width="36.140625" bestFit="1" customWidth="1"/>
    <col min="6" max="6" width="25.85546875" bestFit="1" customWidth="1"/>
  </cols>
  <sheetData>
    <row r="1" spans="1:6" x14ac:dyDescent="0.25">
      <c r="A1" s="27" t="s">
        <v>53</v>
      </c>
      <c r="B1" s="27"/>
      <c r="C1" s="27"/>
      <c r="D1" s="27"/>
      <c r="E1" s="27"/>
    </row>
    <row r="2" spans="1:6" x14ac:dyDescent="0.25">
      <c r="A2" t="s">
        <v>6</v>
      </c>
      <c r="B2" t="s">
        <v>44</v>
      </c>
      <c r="C2" t="s">
        <v>45</v>
      </c>
      <c r="D2" t="s">
        <v>51</v>
      </c>
      <c r="E2" t="s">
        <v>52</v>
      </c>
      <c r="F2" t="s">
        <v>56</v>
      </c>
    </row>
    <row r="3" spans="1:6" x14ac:dyDescent="0.25">
      <c r="A3" t="s">
        <v>8</v>
      </c>
      <c r="B3" s="15">
        <v>100000</v>
      </c>
      <c r="C3" s="1">
        <v>260000</v>
      </c>
      <c r="D3" s="1">
        <v>4.1500000000000004</v>
      </c>
      <c r="E3" s="1">
        <v>5</v>
      </c>
      <c r="F3" s="1">
        <v>10</v>
      </c>
    </row>
    <row r="5" spans="1:6" x14ac:dyDescent="0.25">
      <c r="A5" s="28" t="s">
        <v>62</v>
      </c>
      <c r="B5" s="29"/>
      <c r="C5" s="29"/>
      <c r="D5" s="29"/>
      <c r="E5" s="29"/>
      <c r="F5" s="29"/>
    </row>
    <row r="6" spans="1:6" x14ac:dyDescent="0.25">
      <c r="A6" s="29"/>
      <c r="B6" s="29"/>
      <c r="C6" s="29"/>
      <c r="D6" s="29"/>
      <c r="E6" s="29"/>
      <c r="F6" s="29"/>
    </row>
    <row r="7" spans="1:6" x14ac:dyDescent="0.25">
      <c r="A7" s="29"/>
      <c r="B7" s="29"/>
      <c r="C7" s="29"/>
      <c r="D7" s="29"/>
      <c r="E7" s="29"/>
      <c r="F7" s="29"/>
    </row>
    <row r="8" spans="1:6" x14ac:dyDescent="0.25">
      <c r="A8" s="29"/>
      <c r="B8" s="29"/>
      <c r="C8" s="29"/>
      <c r="D8" s="29"/>
      <c r="E8" s="29"/>
      <c r="F8" s="29"/>
    </row>
    <row r="9" spans="1:6" x14ac:dyDescent="0.25">
      <c r="A9" s="29"/>
      <c r="B9" s="29"/>
      <c r="C9" s="29"/>
      <c r="D9" s="29"/>
      <c r="E9" s="29"/>
      <c r="F9" s="29"/>
    </row>
  </sheetData>
  <mergeCells count="2">
    <mergeCell ref="A1:E1"/>
    <mergeCell ref="A5:F9"/>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Invalid Entry!" error="Please select which airplane you operate" promptTitle="Airplane Type" prompt="Please select which airplane you operate" xr:uid="{499B85E7-CE57-487A-A0F5-088084D87F45}">
          <x14:formula1>
            <xm:f>'Profit - BE Analysis'!$G$16:$G$22</xm:f>
          </x14:formula1>
          <xm:sqref>A3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8BA0E-D072-4115-94D2-BCE02AEDE318}">
  <dimension ref="A1:G17"/>
  <sheetViews>
    <sheetView workbookViewId="0">
      <selection activeCell="A4" sqref="A4"/>
    </sheetView>
  </sheetViews>
  <sheetFormatPr defaultRowHeight="15" x14ac:dyDescent="0.25"/>
  <cols>
    <col min="1" max="1" width="41.7109375" bestFit="1" customWidth="1"/>
    <col min="2" max="2" width="15.28515625" bestFit="1" customWidth="1"/>
  </cols>
  <sheetData>
    <row r="1" spans="1:7" x14ac:dyDescent="0.25">
      <c r="A1" s="27" t="s">
        <v>48</v>
      </c>
      <c r="B1" s="27"/>
      <c r="C1" s="27"/>
      <c r="D1" s="27"/>
      <c r="E1" s="27"/>
      <c r="F1" s="27"/>
      <c r="G1" s="27"/>
    </row>
    <row r="2" spans="1:7" x14ac:dyDescent="0.25">
      <c r="A2" t="s">
        <v>63</v>
      </c>
      <c r="B2" s="1">
        <v>50000</v>
      </c>
      <c r="C2" s="28" t="s">
        <v>55</v>
      </c>
      <c r="D2" s="28"/>
      <c r="E2" s="28"/>
      <c r="F2" s="28"/>
      <c r="G2" s="28"/>
    </row>
    <row r="3" spans="1:7" x14ac:dyDescent="0.25">
      <c r="A3" t="s">
        <v>46</v>
      </c>
      <c r="B3" s="15">
        <v>100000</v>
      </c>
      <c r="C3" s="28"/>
      <c r="D3" s="28"/>
      <c r="E3" s="28"/>
      <c r="F3" s="28"/>
      <c r="G3" s="28"/>
    </row>
    <row r="4" spans="1:7" x14ac:dyDescent="0.25">
      <c r="A4" t="s">
        <v>47</v>
      </c>
      <c r="B4" s="1">
        <f>B2/B3</f>
        <v>0.5</v>
      </c>
      <c r="C4" s="28"/>
      <c r="D4" s="28"/>
      <c r="E4" s="28"/>
      <c r="F4" s="28"/>
      <c r="G4" s="28"/>
    </row>
    <row r="6" spans="1:7" x14ac:dyDescent="0.25">
      <c r="A6" s="27" t="s">
        <v>23</v>
      </c>
      <c r="B6" s="27"/>
      <c r="C6" s="27"/>
      <c r="D6" s="27"/>
      <c r="E6" s="27"/>
      <c r="F6" s="27"/>
      <c r="G6" s="27"/>
    </row>
    <row r="7" spans="1:7" x14ac:dyDescent="0.25">
      <c r="A7" t="s">
        <v>49</v>
      </c>
      <c r="B7" s="1">
        <v>200000</v>
      </c>
    </row>
    <row r="8" spans="1:7" x14ac:dyDescent="0.25">
      <c r="A8" t="s">
        <v>46</v>
      </c>
      <c r="B8" s="15">
        <v>100000</v>
      </c>
    </row>
    <row r="9" spans="1:7" x14ac:dyDescent="0.25">
      <c r="A9" t="s">
        <v>50</v>
      </c>
      <c r="B9" s="1">
        <f>B7/B8</f>
        <v>2</v>
      </c>
    </row>
    <row r="11" spans="1:7" x14ac:dyDescent="0.25">
      <c r="A11" s="30" t="s">
        <v>54</v>
      </c>
      <c r="B11" s="30"/>
      <c r="C11" s="30"/>
      <c r="D11" s="30"/>
      <c r="E11" s="30"/>
      <c r="F11" s="30"/>
      <c r="G11" s="30"/>
    </row>
    <row r="12" spans="1:7" x14ac:dyDescent="0.25">
      <c r="A12" s="16" t="s">
        <v>35</v>
      </c>
      <c r="B12" s="17">
        <v>1000000</v>
      </c>
      <c r="C12" s="28" t="s">
        <v>60</v>
      </c>
      <c r="D12" s="29"/>
      <c r="E12" s="29"/>
      <c r="F12" s="29"/>
      <c r="G12" s="29"/>
    </row>
    <row r="13" spans="1:7" x14ac:dyDescent="0.25">
      <c r="A13" s="18" t="s">
        <v>36</v>
      </c>
      <c r="B13" s="19">
        <v>0.2</v>
      </c>
      <c r="C13" s="29"/>
      <c r="D13" s="29"/>
      <c r="E13" s="29"/>
      <c r="F13" s="29"/>
      <c r="G13" s="29"/>
    </row>
    <row r="14" spans="1:7" x14ac:dyDescent="0.25">
      <c r="A14" s="16" t="s">
        <v>37</v>
      </c>
      <c r="B14" s="20">
        <v>4</v>
      </c>
      <c r="C14" s="29"/>
      <c r="D14" s="29"/>
      <c r="E14" s="29"/>
      <c r="F14" s="29"/>
      <c r="G14" s="29"/>
    </row>
    <row r="15" spans="1:7" x14ac:dyDescent="0.25">
      <c r="A15" s="16" t="s">
        <v>38</v>
      </c>
      <c r="B15" s="21">
        <f>(B12*B13)/B14</f>
        <v>50000</v>
      </c>
      <c r="C15" s="29"/>
      <c r="D15" s="29"/>
      <c r="E15" s="29"/>
      <c r="F15" s="29"/>
      <c r="G15" s="29"/>
    </row>
    <row r="16" spans="1:7" x14ac:dyDescent="0.25">
      <c r="A16" s="20"/>
      <c r="B16" s="20"/>
    </row>
    <row r="17" spans="1:2" x14ac:dyDescent="0.25">
      <c r="A17" s="20"/>
      <c r="B17" s="20"/>
    </row>
  </sheetData>
  <mergeCells count="5">
    <mergeCell ref="A1:G1"/>
    <mergeCell ref="C2:G4"/>
    <mergeCell ref="C12:G15"/>
    <mergeCell ref="A6:G6"/>
    <mergeCell ref="A11:G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BC036-5650-4372-9CE5-D9A8105EC65C}">
  <dimension ref="A1:I26"/>
  <sheetViews>
    <sheetView workbookViewId="0">
      <selection activeCell="E11" sqref="E11"/>
    </sheetView>
  </sheetViews>
  <sheetFormatPr defaultRowHeight="15" x14ac:dyDescent="0.25"/>
  <cols>
    <col min="1" max="1" width="30.28515625" bestFit="1" customWidth="1"/>
    <col min="2" max="2" width="13.28515625" bestFit="1" customWidth="1"/>
    <col min="3" max="3" width="19.7109375" bestFit="1" customWidth="1"/>
    <col min="4" max="4" width="12.5703125" bestFit="1" customWidth="1"/>
    <col min="7" max="7" width="33.42578125" bestFit="1" customWidth="1"/>
    <col min="8" max="8" width="32" bestFit="1" customWidth="1"/>
    <col min="9" max="9" width="22" bestFit="1" customWidth="1"/>
  </cols>
  <sheetData>
    <row r="1" spans="1:9" ht="15.75" thickBot="1" x14ac:dyDescent="0.3">
      <c r="A1" s="31" t="s">
        <v>58</v>
      </c>
      <c r="B1" s="31"/>
      <c r="C1" s="31"/>
      <c r="D1" s="31"/>
    </row>
    <row r="2" spans="1:9" x14ac:dyDescent="0.25">
      <c r="B2" s="23" t="s">
        <v>24</v>
      </c>
      <c r="C2" s="23" t="s">
        <v>34</v>
      </c>
      <c r="D2" s="23" t="s">
        <v>61</v>
      </c>
      <c r="G2" s="5" t="s">
        <v>28</v>
      </c>
      <c r="H2" s="5" t="s">
        <v>25</v>
      </c>
      <c r="I2" s="5" t="s">
        <v>26</v>
      </c>
    </row>
    <row r="3" spans="1:9" ht="15.75" thickBot="1" x14ac:dyDescent="0.3">
      <c r="A3" s="3" t="s">
        <v>32</v>
      </c>
      <c r="B3" s="14">
        <f>H12*C3</f>
        <v>1000000</v>
      </c>
      <c r="C3" s="4">
        <f>Table1[Rate ($/Acre) You Charge]</f>
        <v>10</v>
      </c>
      <c r="G3" s="6" t="s">
        <v>23</v>
      </c>
      <c r="H3" s="10">
        <f>B6/$H$13</f>
        <v>400</v>
      </c>
      <c r="I3" s="10">
        <f>Assumptions!B9</f>
        <v>2</v>
      </c>
    </row>
    <row r="4" spans="1:9" ht="15.75" thickTop="1" x14ac:dyDescent="0.25">
      <c r="G4" s="6" t="s">
        <v>22</v>
      </c>
      <c r="H4" s="10">
        <f>B7/$H$13</f>
        <v>520</v>
      </c>
      <c r="I4" s="10">
        <f>B7/$H$12</f>
        <v>2.6</v>
      </c>
    </row>
    <row r="5" spans="1:9" x14ac:dyDescent="0.25">
      <c r="A5" s="23" t="s">
        <v>21</v>
      </c>
      <c r="C5" s="23" t="s">
        <v>39</v>
      </c>
      <c r="G5" s="6" t="s">
        <v>18</v>
      </c>
      <c r="H5" s="10">
        <f>B8/$H$13</f>
        <v>373.50000000000006</v>
      </c>
      <c r="I5" s="10">
        <f>B8/$H$12</f>
        <v>1.8675000000000004</v>
      </c>
    </row>
    <row r="6" spans="1:9" x14ac:dyDescent="0.25">
      <c r="A6" s="26" t="s">
        <v>23</v>
      </c>
      <c r="B6" s="1">
        <f>C6*H12</f>
        <v>200000</v>
      </c>
      <c r="C6" s="12">
        <f>I3</f>
        <v>2</v>
      </c>
      <c r="G6" s="6" t="s">
        <v>17</v>
      </c>
      <c r="H6" s="10">
        <f t="shared" ref="H6:H8" si="0">B9/$H$13</f>
        <v>100</v>
      </c>
      <c r="I6" s="10">
        <f>Assumptions!B4</f>
        <v>0.5</v>
      </c>
    </row>
    <row r="7" spans="1:9" x14ac:dyDescent="0.25">
      <c r="A7" s="26" t="s">
        <v>22</v>
      </c>
      <c r="B7" s="1">
        <f>Table1[Annual Debt Payment]</f>
        <v>260000</v>
      </c>
      <c r="C7" s="12">
        <f t="shared" ref="C7:C11" si="1">I4</f>
        <v>2.6</v>
      </c>
      <c r="G7" s="6" t="s">
        <v>19</v>
      </c>
      <c r="H7" s="10">
        <f t="shared" si="0"/>
        <v>170</v>
      </c>
      <c r="I7" s="10">
        <f>B10/$H$12</f>
        <v>0.85</v>
      </c>
    </row>
    <row r="8" spans="1:9" x14ac:dyDescent="0.25">
      <c r="A8" s="26" t="s">
        <v>18</v>
      </c>
      <c r="B8" s="1">
        <f>$H$13*VLOOKUP(Table1[Airplane Type:],'Profit - BE Analysis'!G16:I22,2,FALSE)*Table1[Fuel Base Rate]</f>
        <v>186750.00000000003</v>
      </c>
      <c r="C8" s="12">
        <f t="shared" si="1"/>
        <v>1.8675000000000004</v>
      </c>
      <c r="G8" s="6" t="s">
        <v>20</v>
      </c>
      <c r="H8" s="10">
        <f t="shared" si="0"/>
        <v>100</v>
      </c>
      <c r="I8" s="10">
        <f>B11/$H$12</f>
        <v>0.5</v>
      </c>
    </row>
    <row r="9" spans="1:9" x14ac:dyDescent="0.25">
      <c r="A9" s="26" t="s">
        <v>17</v>
      </c>
      <c r="B9" s="1">
        <f>C9*H12</f>
        <v>50000</v>
      </c>
      <c r="C9" s="12">
        <f>I6</f>
        <v>0.5</v>
      </c>
      <c r="G9" s="6" t="s">
        <v>43</v>
      </c>
      <c r="H9" s="10">
        <f>B12/H13</f>
        <v>150</v>
      </c>
      <c r="I9" s="10">
        <f>B12/H12</f>
        <v>0.75</v>
      </c>
    </row>
    <row r="10" spans="1:9" x14ac:dyDescent="0.25">
      <c r="A10" s="26" t="s">
        <v>19</v>
      </c>
      <c r="B10" s="1">
        <v>85000</v>
      </c>
      <c r="C10" s="12">
        <f t="shared" si="1"/>
        <v>0.85</v>
      </c>
      <c r="G10" s="11" t="s">
        <v>31</v>
      </c>
      <c r="H10" s="10">
        <f>SUM(H3:H9)</f>
        <v>1813.5</v>
      </c>
      <c r="I10" s="10">
        <f>SUM(I3:I9)</f>
        <v>9.067499999999999</v>
      </c>
    </row>
    <row r="11" spans="1:9" x14ac:dyDescent="0.25">
      <c r="A11" s="26" t="s">
        <v>20</v>
      </c>
      <c r="B11" s="1">
        <f>Assumptions!B15</f>
        <v>50000</v>
      </c>
      <c r="C11" s="12">
        <f t="shared" si="1"/>
        <v>0.5</v>
      </c>
    </row>
    <row r="12" spans="1:9" x14ac:dyDescent="0.25">
      <c r="A12" s="26" t="s">
        <v>43</v>
      </c>
      <c r="B12" s="1">
        <v>75000</v>
      </c>
      <c r="C12" s="12">
        <f>I9</f>
        <v>0.75</v>
      </c>
      <c r="G12" s="6" t="s">
        <v>27</v>
      </c>
      <c r="H12" s="9">
        <f>Table1[Projected Acres to Spray This Season:]</f>
        <v>100000</v>
      </c>
    </row>
    <row r="13" spans="1:9" ht="15.75" thickBot="1" x14ac:dyDescent="0.3">
      <c r="A13" s="3" t="s">
        <v>30</v>
      </c>
      <c r="B13" s="4">
        <f>SUM(B6:B12)</f>
        <v>906750</v>
      </c>
      <c r="C13" s="4">
        <f>SUM(C6:C12)</f>
        <v>9.067499999999999</v>
      </c>
      <c r="G13" s="11" t="s">
        <v>29</v>
      </c>
      <c r="H13" s="9">
        <f>H12/VLOOKUP(Table1[Airplane Type:],'Profit - BE Analysis'!G16:I22,3,FALSE)</f>
        <v>500</v>
      </c>
    </row>
    <row r="14" spans="1:9" ht="15.75" thickTop="1" x14ac:dyDescent="0.25">
      <c r="D14" s="24"/>
    </row>
    <row r="15" spans="1:9" ht="15.75" thickBot="1" x14ac:dyDescent="0.3">
      <c r="A15" s="3" t="s">
        <v>33</v>
      </c>
      <c r="B15" s="14">
        <f>B3-B13</f>
        <v>93250</v>
      </c>
      <c r="C15" s="4">
        <f>C3-C13</f>
        <v>0.93250000000000099</v>
      </c>
      <c r="D15" s="25">
        <f>C15/C3</f>
        <v>9.3250000000000097E-2</v>
      </c>
      <c r="G15" s="8" t="s">
        <v>6</v>
      </c>
      <c r="H15" s="8" t="s">
        <v>15</v>
      </c>
      <c r="I15" s="8" t="s">
        <v>7</v>
      </c>
    </row>
    <row r="16" spans="1:9" ht="15.75" thickTop="1" x14ac:dyDescent="0.25">
      <c r="G16" s="7" t="s">
        <v>8</v>
      </c>
      <c r="H16" s="7">
        <v>90</v>
      </c>
      <c r="I16" s="7">
        <v>200</v>
      </c>
    </row>
    <row r="17" spans="1:9" ht="15.75" thickBot="1" x14ac:dyDescent="0.3">
      <c r="A17" s="3" t="s">
        <v>41</v>
      </c>
      <c r="B17" s="4">
        <f>'Fuel &amp; Fuel Surcharge'!B7</f>
        <v>38249.999999999985</v>
      </c>
      <c r="C17" s="4">
        <f>'Fuel &amp; Fuel Surcharge'!B9</f>
        <v>0.38249999999999984</v>
      </c>
      <c r="G17" s="7" t="s">
        <v>9</v>
      </c>
      <c r="H17" s="7">
        <v>80</v>
      </c>
      <c r="I17" s="7">
        <v>180</v>
      </c>
    </row>
    <row r="18" spans="1:9" ht="16.5" thickTop="1" thickBot="1" x14ac:dyDescent="0.3">
      <c r="A18" s="3" t="s">
        <v>59</v>
      </c>
      <c r="B18" s="4">
        <f>B15+B17</f>
        <v>131500</v>
      </c>
      <c r="C18" s="4">
        <f>C15+C17</f>
        <v>1.3150000000000008</v>
      </c>
      <c r="D18" s="25">
        <f>C18/C3</f>
        <v>0.13150000000000009</v>
      </c>
      <c r="G18" s="7" t="s">
        <v>10</v>
      </c>
      <c r="H18" s="7">
        <v>60</v>
      </c>
      <c r="I18" s="7">
        <v>160</v>
      </c>
    </row>
    <row r="19" spans="1:9" ht="16.5" thickTop="1" thickBot="1" x14ac:dyDescent="0.3">
      <c r="A19" s="3" t="s">
        <v>42</v>
      </c>
      <c r="B19" s="4">
        <f>B15-B17</f>
        <v>55000.000000000015</v>
      </c>
      <c r="C19" s="4">
        <f>C15-C17</f>
        <v>0.55000000000000115</v>
      </c>
      <c r="D19" s="25">
        <f>C19/C3</f>
        <v>5.5000000000000118E-2</v>
      </c>
      <c r="G19" s="7" t="s">
        <v>11</v>
      </c>
      <c r="H19" s="7">
        <v>60</v>
      </c>
      <c r="I19" s="7">
        <v>160</v>
      </c>
    </row>
    <row r="20" spans="1:9" ht="15.75" thickTop="1" x14ac:dyDescent="0.25">
      <c r="G20" s="7" t="s">
        <v>12</v>
      </c>
      <c r="H20" s="7">
        <v>55</v>
      </c>
      <c r="I20" s="7">
        <v>120</v>
      </c>
    </row>
    <row r="21" spans="1:9" x14ac:dyDescent="0.25">
      <c r="G21" s="7" t="s">
        <v>13</v>
      </c>
      <c r="H21" s="7">
        <v>90</v>
      </c>
      <c r="I21" s="7">
        <v>200</v>
      </c>
    </row>
    <row r="22" spans="1:9" x14ac:dyDescent="0.25">
      <c r="G22" s="7" t="s">
        <v>14</v>
      </c>
      <c r="H22" s="7">
        <v>80</v>
      </c>
      <c r="I22" s="7">
        <v>180</v>
      </c>
    </row>
    <row r="23" spans="1:9" x14ac:dyDescent="0.25">
      <c r="G23" s="20"/>
      <c r="H23" s="20"/>
    </row>
    <row r="24" spans="1:9" x14ac:dyDescent="0.25">
      <c r="G24" s="18"/>
      <c r="H24" s="22"/>
    </row>
    <row r="25" spans="1:9" x14ac:dyDescent="0.25">
      <c r="G25" s="20"/>
      <c r="H25" s="20"/>
    </row>
    <row r="26" spans="1:9" x14ac:dyDescent="0.25">
      <c r="G26" s="20"/>
      <c r="H26" s="20"/>
    </row>
  </sheetData>
  <sortState xmlns:xlrd2="http://schemas.microsoft.com/office/spreadsheetml/2017/richdata2" ref="A6:A11">
    <sortCondition ref="A6:A11"/>
  </sortState>
  <mergeCells count="1">
    <mergeCell ref="A1: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0BB34-F25B-4A6C-85DF-10325462DCBA}">
  <dimension ref="A1:G13"/>
  <sheetViews>
    <sheetView workbookViewId="0">
      <selection activeCell="D15" sqref="D15"/>
    </sheetView>
  </sheetViews>
  <sheetFormatPr defaultRowHeight="15" x14ac:dyDescent="0.25"/>
  <cols>
    <col min="1" max="1" width="30.42578125" bestFit="1" customWidth="1"/>
    <col min="2" max="2" width="11.5703125" bestFit="1" customWidth="1"/>
    <col min="5" max="5" width="14" bestFit="1" customWidth="1"/>
    <col min="6" max="6" width="32" bestFit="1" customWidth="1"/>
    <col min="7" max="7" width="22" bestFit="1" customWidth="1"/>
    <col min="9" max="9" width="24.5703125" bestFit="1" customWidth="1"/>
    <col min="10" max="10" width="31.85546875" bestFit="1" customWidth="1"/>
    <col min="11" max="11" width="22" bestFit="1" customWidth="1"/>
  </cols>
  <sheetData>
    <row r="1" spans="1:7" ht="15.75" thickBot="1" x14ac:dyDescent="0.3">
      <c r="A1" s="32" t="s">
        <v>57</v>
      </c>
      <c r="B1" s="32"/>
    </row>
    <row r="2" spans="1:7" x14ac:dyDescent="0.25">
      <c r="A2" t="s">
        <v>2</v>
      </c>
      <c r="B2" s="1">
        <f>Table1[Fuel Base Rate]</f>
        <v>4.1500000000000004</v>
      </c>
      <c r="E2" s="8" t="s">
        <v>6</v>
      </c>
      <c r="F2" s="8" t="s">
        <v>15</v>
      </c>
      <c r="G2" s="8" t="s">
        <v>7</v>
      </c>
    </row>
    <row r="3" spans="1:7" x14ac:dyDescent="0.25">
      <c r="A3" t="s">
        <v>3</v>
      </c>
      <c r="B3" s="1">
        <f>Table1[Fuel Price at the Time of Application]</f>
        <v>5</v>
      </c>
      <c r="E3" s="7" t="s">
        <v>8</v>
      </c>
      <c r="F3" s="7">
        <v>90</v>
      </c>
      <c r="G3" s="7">
        <v>200</v>
      </c>
    </row>
    <row r="4" spans="1:7" x14ac:dyDescent="0.25">
      <c r="A4" t="s">
        <v>1</v>
      </c>
      <c r="B4" s="1">
        <f>B3-B2</f>
        <v>0.84999999999999964</v>
      </c>
      <c r="E4" s="7" t="s">
        <v>9</v>
      </c>
      <c r="F4" s="7">
        <v>80</v>
      </c>
      <c r="G4" s="7">
        <v>180</v>
      </c>
    </row>
    <row r="5" spans="1:7" x14ac:dyDescent="0.25">
      <c r="A5" t="s">
        <v>4</v>
      </c>
      <c r="B5" s="2">
        <f>VLOOKUP(Table1[Airplane Type:],'Fuel &amp; Fuel Surcharge'!E3:G9,2,FALSE)</f>
        <v>90</v>
      </c>
      <c r="E5" s="7" t="s">
        <v>10</v>
      </c>
      <c r="F5" s="7">
        <v>60</v>
      </c>
      <c r="G5" s="7">
        <v>160</v>
      </c>
    </row>
    <row r="6" spans="1:7" x14ac:dyDescent="0.25">
      <c r="A6" t="s">
        <v>40</v>
      </c>
      <c r="B6" s="2">
        <f>'Profit - BE Analysis'!H13</f>
        <v>500</v>
      </c>
      <c r="E6" s="7" t="s">
        <v>11</v>
      </c>
      <c r="F6" s="7">
        <v>60</v>
      </c>
      <c r="G6" s="7">
        <v>160</v>
      </c>
    </row>
    <row r="7" spans="1:7" ht="15.75" thickBot="1" x14ac:dyDescent="0.3">
      <c r="A7" s="3" t="s">
        <v>0</v>
      </c>
      <c r="B7" s="4">
        <f>B4*B5*B6</f>
        <v>38249.999999999985</v>
      </c>
      <c r="E7" s="7" t="s">
        <v>12</v>
      </c>
      <c r="F7" s="7">
        <v>55</v>
      </c>
      <c r="G7" s="7">
        <v>120</v>
      </c>
    </row>
    <row r="8" spans="1:7" ht="15.75" thickTop="1" x14ac:dyDescent="0.25">
      <c r="A8" t="s">
        <v>5</v>
      </c>
      <c r="B8" s="13">
        <f>Table1[Projected Acres to Spray This Season:]</f>
        <v>100000</v>
      </c>
      <c r="E8" s="7" t="s">
        <v>13</v>
      </c>
      <c r="F8" s="7">
        <v>90</v>
      </c>
      <c r="G8" s="7">
        <v>200</v>
      </c>
    </row>
    <row r="9" spans="1:7" ht="15.75" thickBot="1" x14ac:dyDescent="0.3">
      <c r="A9" s="3" t="s">
        <v>16</v>
      </c>
      <c r="B9" s="4">
        <f>B7/B8</f>
        <v>0.38249999999999984</v>
      </c>
      <c r="E9" s="7" t="s">
        <v>14</v>
      </c>
      <c r="F9" s="7">
        <v>80</v>
      </c>
      <c r="G9" s="7">
        <v>180</v>
      </c>
    </row>
    <row r="10" spans="1:7" ht="15.75" thickTop="1" x14ac:dyDescent="0.25"/>
    <row r="12" spans="1:7" x14ac:dyDescent="0.25">
      <c r="B12" s="1"/>
    </row>
    <row r="13" spans="1:7" x14ac:dyDescent="0.25">
      <c r="B13" s="1"/>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Input</vt:lpstr>
      <vt:lpstr>Assumptions</vt:lpstr>
      <vt:lpstr>Profit - BE Analysis</vt:lpstr>
      <vt:lpstr>Fuel &amp; Fuel Surcharge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Haley Floyd</dc:creator>
  <cp:lastModifiedBy>Matt Bennett</cp:lastModifiedBy>
  <dcterms:created xsi:type="dcterms:W3CDTF">2022-06-13T14:30:22Z</dcterms:created>
  <dcterms:modified xsi:type="dcterms:W3CDTF">2022-07-05T20:54:36Z</dcterms:modified>
</cp:coreProperties>
</file>